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ease vs Buy Calculator" sheetId="1" state="visible" r:id="rId3"/>
    <sheet name="Monthly Breakdown" sheetId="2" state="visible" r:id="rId4"/>
    <sheet name="Instruction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<sst xmlns="http://schemas.openxmlformats.org/spreadsheetml/2006/main" count="98" uniqueCount="93">
  <si>
    <t xml:space="preserve">Vehicle Lease vs Buy Comparison Calculator</t>
  </si>
  <si>
    <t xml:space="preserve">Enter your numbers in the blue cells to compare costs</t>
  </si>
  <si>
    <t xml:space="preserve">VEHICLE INFORMATION</t>
  </si>
  <si>
    <t xml:space="preserve">Vehicle MSRP</t>
  </si>
  <si>
    <t xml:space="preserve">Negotiated Price</t>
  </si>
  <si>
    <t xml:space="preserve">LEASE INPUTS</t>
  </si>
  <si>
    <t xml:space="preserve">BUY/FINANCE INPUTS</t>
  </si>
  <si>
    <t xml:space="preserve">Down Payment</t>
  </si>
  <si>
    <t xml:space="preserve">Lease Term (months)</t>
  </si>
  <si>
    <t xml:space="preserve">Loan Term (months)</t>
  </si>
  <si>
    <t xml:space="preserve">Residual Value (%)</t>
  </si>
  <si>
    <t xml:space="preserve">Interest Rate (APR %)</t>
  </si>
  <si>
    <t xml:space="preserve">Money Factor</t>
  </si>
  <si>
    <t xml:space="preserve">Sales Tax Rate (%)</t>
  </si>
  <si>
    <t xml:space="preserve">Years to Keep Vehicle</t>
  </si>
  <si>
    <t xml:space="preserve">Acquisition Fee</t>
  </si>
  <si>
    <t xml:space="preserve">Est. Value After 6 Years</t>
  </si>
  <si>
    <t xml:space="preserve">LEASE CALCULATIONS</t>
  </si>
  <si>
    <t xml:space="preserve">BUY/FINANCE CALCULATIONS</t>
  </si>
  <si>
    <t xml:space="preserve">Residual Value ($)</t>
  </si>
  <si>
    <t xml:space="preserve">Amount Financed</t>
  </si>
  <si>
    <t xml:space="preserve">Net Cap Cost</t>
  </si>
  <si>
    <t xml:space="preserve">Monthly Interest Rate</t>
  </si>
  <si>
    <t xml:space="preserve">Monthly Depreciation</t>
  </si>
  <si>
    <t xml:space="preserve">Monthly Loan Payment</t>
  </si>
  <si>
    <t xml:space="preserve">Monthly Finance Charge</t>
  </si>
  <si>
    <t xml:space="preserve">Total Loan Payments</t>
  </si>
  <si>
    <t xml:space="preserve">Monthly Payment (pre-tax)</t>
  </si>
  <si>
    <t xml:space="preserve">Total Interest Paid</t>
  </si>
  <si>
    <t xml:space="preserve">Monthly Tax</t>
  </si>
  <si>
    <t xml:space="preserve">Total Monthly Payment</t>
  </si>
  <si>
    <t xml:space="preserve">Equivalent APR</t>
  </si>
  <si>
    <t xml:space="preserve">6-YEAR COST COMPARISON</t>
  </si>
  <si>
    <t xml:space="preserve">Cost Category</t>
  </si>
  <si>
    <t xml:space="preserve">LEASE (2 x 36 mo)</t>
  </si>
  <si>
    <t xml:space="preserve">BUY (Keep 6 years)</t>
  </si>
  <si>
    <t xml:space="preserve">Down Payment (x2)</t>
  </si>
  <si>
    <t xml:space="preserve">Down Payment + Tax</t>
  </si>
  <si>
    <t xml:space="preserve">Monthly Payments (72 mo)</t>
  </si>
  <si>
    <t xml:space="preserve">Loan Payments (60 mo)</t>
  </si>
  <si>
    <t xml:space="preserve">Acquisition Fees (x2)</t>
  </si>
  <si>
    <t xml:space="preserve">Maintenance (est.)</t>
  </si>
  <si>
    <t xml:space="preserve">Total Lease Cost</t>
  </si>
  <si>
    <t xml:space="preserve">Total Buy Cost</t>
  </si>
  <si>
    <t xml:space="preserve">Vehicle Equity</t>
  </si>
  <si>
    <t xml:space="preserve">Vehicle Value at 6 Years</t>
  </si>
  <si>
    <t xml:space="preserve">NET COST (Total - Equity)</t>
  </si>
  <si>
    <t xml:space="preserve">RECOMMENDATION</t>
  </si>
  <si>
    <t xml:space="preserve">NOTES:</t>
  </si>
  <si>
    <t xml:space="preserve">• Lease calculation assumes two consecutive 36-month leases</t>
  </si>
  <si>
    <t xml:space="preserve">• Buy calculation includes estimated maintenance costs after warranty</t>
  </si>
  <si>
    <t xml:space="preserve">• Actual costs may vary based on insurance, fuel, and market conditions</t>
  </si>
  <si>
    <t xml:space="preserve">• Vehicle value at 6 years is an estimate - actual depreciation varies</t>
  </si>
  <si>
    <t xml:space="preserve">Monthly Cost Breakdown</t>
  </si>
  <si>
    <t xml:space="preserve">Category</t>
  </si>
  <si>
    <t xml:space="preserve">Lease</t>
  </si>
  <si>
    <t xml:space="preserve">Buy</t>
  </si>
  <si>
    <t xml:space="preserve">Difference</t>
  </si>
  <si>
    <t xml:space="preserve">Car Payment</t>
  </si>
  <si>
    <t xml:space="preserve">Insurance (est.)</t>
  </si>
  <si>
    <t xml:space="preserve">Fuel (est.)</t>
  </si>
  <si>
    <t xml:space="preserve">TOTAL MONTHLY</t>
  </si>
  <si>
    <t xml:space="preserve">Note: Insurance and fuel are estimates. Enter your actual numbers in the blue cells.</t>
  </si>
  <si>
    <t xml:space="preserve">How to Use This Spreadsheet</t>
  </si>
  <si>
    <t xml:space="preserve">1. ENTER YOUR VEHICLE INFORMATION</t>
  </si>
  <si>
    <t xml:space="preserve">   • Vehicle MSRP: The sticker price of the vehicle</t>
  </si>
  <si>
    <t xml:space="preserve">   • Negotiated Price: The actual selling price you negotiate</t>
  </si>
  <si>
    <t xml:space="preserve">2. ENTER LEASE DETAILS</t>
  </si>
  <si>
    <t xml:space="preserve">   • Down Payment: Amount you'll put down on the lease</t>
  </si>
  <si>
    <t xml:space="preserve">   • Lease Term: Usually 24, 36, or 39 months</t>
  </si>
  <si>
    <t xml:space="preserve">   • Residual Value: Ask the dealer or check manufacturer rates (typically 50-65%)</t>
  </si>
  <si>
    <t xml:space="preserve">   • Money Factor: Ask the dealer; divide APR by 2400 if they give you APR instead</t>
  </si>
  <si>
    <t xml:space="preserve">   • Sales Tax Rate: Your state/local tax rate</t>
  </si>
  <si>
    <t xml:space="preserve">   • Acquisition Fee: Bank fee, typically $595-$995</t>
  </si>
  <si>
    <t xml:space="preserve">3. ENTER BUY/FINANCE DETAILS</t>
  </si>
  <si>
    <t xml:space="preserve">   • Down Payment: Amount you'll put down on purchase</t>
  </si>
  <si>
    <t xml:space="preserve">   • Loan Term: Usually 48, 60, or 72 months</t>
  </si>
  <si>
    <t xml:space="preserve">   • Interest Rate: Your loan APR (check current rates at bankrate.com)</t>
  </si>
  <si>
    <t xml:space="preserve">   • Years to Keep: How long you plan to own the vehicle</t>
  </si>
  <si>
    <t xml:space="preserve">   • Est. Value After 6 Years: Check KBB or Edmunds for depreciation estimates</t>
  </si>
  <si>
    <t xml:space="preserve">4. REVIEW THE RESULTS</t>
  </si>
  <si>
    <t xml:space="preserve">   • The calculator automatically computes all costs</t>
  </si>
  <si>
    <t xml:space="preserve">   • Compare the NET COST for both options</t>
  </si>
  <si>
    <t xml:space="preserve">   • The recommendation shows which option saves money</t>
  </si>
  <si>
    <t xml:space="preserve">5. ADJUST FOR YOUR SITUATION</t>
  </si>
  <si>
    <t xml:space="preserve">   • Monthly Breakdown tab lets you add insurance, fuel, maintenance estimates</t>
  </si>
  <si>
    <t xml:space="preserve">   • Try different scenarios by changing the inputs</t>
  </si>
  <si>
    <t xml:space="preserve">TIPS FOR ACCURATE COMPARISON:</t>
  </si>
  <si>
    <t xml:space="preserve">• Use realistic residual values (ask multiple dealers)</t>
  </si>
  <si>
    <t xml:space="preserve">• Include ALL fees in your comparison</t>
  </si>
  <si>
    <t xml:space="preserve">• Consider how long you'll actually keep a purchased vehicle</t>
  </si>
  <si>
    <t xml:space="preserve">• Factor in that leasing means always having warranty coverage</t>
  </si>
  <si>
    <t xml:space="preserve">Questions? Visit VehicleLeaseCalculator.com for more resources.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</si>
</sst>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\$#,##0"/>
    <numFmt numFmtId="166" formatCode="0"/>
    <numFmt numFmtId="167" formatCode="0\%"/>
    <numFmt numFmtId="168" formatCode="0.0\%"/>
    <numFmt numFmtId="169" formatCode="0.00000"/>
    <numFmt numFmtId="170" formatCode="0.0000\%"/>
    <numFmt numFmtId="171" formatCode="\$#,##0.00"/>
    <numFmt numFmtId="172" formatCode="0.00\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E40AF"/>
      <name val="Cambria"/>
      <family val="0"/>
      <charset val="1"/>
    </font>
    <font>
      <sz val="10"/>
      <color rgb="FF1E293B"/>
      <name val="Cambria"/>
      <family val="0"/>
      <charset val="1"/>
    </font>
    <font>
      <b val="true"/>
      <sz val="11"/>
      <color rgb="FF1E40AF"/>
      <name val="Cambria"/>
      <family val="0"/>
      <charset val="1"/>
    </font>
    <font>
      <sz val="11"/>
      <color rgb="FF1E293B"/>
      <name val="Cambria"/>
      <family val="0"/>
      <charset val="1"/>
    </font>
    <font>
      <b val="true"/>
      <sz val="14"/>
      <color rgb="FF1E40AF"/>
      <name val="Cambria"/>
      <family val="0"/>
      <charset val="1"/>
    </font>
    <font>
      <b val="true"/>
      <sz val="12"/>
      <color rgb="FFFFFFFF"/>
      <name val="Cambria"/>
      <family val="0"/>
      <charset val="1"/>
    </font>
    <font>
      <b val="true"/>
      <sz val="11"/>
      <name val="Cambria"/>
      <family val="0"/>
      <charset val="1"/>
    </font>
    <font>
      <b val="true"/>
      <sz val="12"/>
      <name val="Cambria"/>
      <family val="0"/>
      <charset val="1"/>
    </font>
    <font>
      <b val="true"/>
      <sz val="11"/>
      <color rgb="FF059669"/>
      <name val="Cambria"/>
      <family val="0"/>
      <charset val="1"/>
    </font>
    <font>
      <b val="true"/>
      <sz val="12"/>
      <color rgb="FF059669"/>
      <name val="Cambria"/>
      <family val="0"/>
      <charset val="1"/>
    </font>
    <font>
      <sz val="9"/>
      <color rgb="FF1E293B"/>
      <name val="Cambria"/>
      <family val="0"/>
      <charset val="1"/>
    </font>
    <font>
      <i val="true"/>
      <sz val="9"/>
      <color rgb="FF1E293B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EFF6FF"/>
        <bgColor rgb="FFFFFFFF"/>
      </patternFill>
    </fill>
    <fill>
      <patternFill patternType="solid">
        <fgColor rgb="FF1E40AF"/>
        <bgColor rgb="FF003366"/>
      </patternFill>
    </fill>
    <fill>
      <patternFill patternType="solid">
        <fgColor rgb="FFD1FAE5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2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C0C0C0"/>
      <rgbColor rgb="FF808080"/>
      <rgbColor rgb="FF9999FF"/>
      <rgbColor rgb="FF993366"/>
      <rgbColor rgb="FFEFF6FF"/>
      <rgbColor rgb="FFE2E8F0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1FAE5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E40AF"/>
      <rgbColor rgb="FF1E293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4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5"/>
    <col collapsed="false" customWidth="true" hidden="false" outlineLevel="0" max="3" min="3" style="0" width="18"/>
    <col collapsed="false" customWidth="true" hidden="false" outlineLevel="0" max="4" min="4" style="0" width="5"/>
    <col collapsed="false" customWidth="true" hidden="false" outlineLevel="0" max="5" min="5" style="0" width="35"/>
    <col collapsed="false" customWidth="true" hidden="false" outlineLevel="0" max="6" min="6" style="0" width="18"/>
  </cols>
  <sheetData>
    <row r="2" customFormat="false" ht="19.7" hidden="false" customHeight="false" outlineLevel="0" collapsed="false">
      <c r="B2" s="1" t="s">
        <v>0</v>
      </c>
      <c r="C2" s="1"/>
      <c r="D2" s="1"/>
      <c r="E2" s="1"/>
      <c r="F2" s="1"/>
    </row>
    <row r="3" customFormat="false" ht="15" hidden="false" customHeight="false" outlineLevel="0" collapsed="false">
      <c r="B3" s="2" t="s">
        <v>1</v>
      </c>
      <c r="C3" s="2"/>
      <c r="D3" s="2"/>
      <c r="E3" s="2"/>
      <c r="F3" s="2"/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5" t="n">
        <v>35000</v>
      </c>
    </row>
    <row r="7" customFormat="false" ht="15" hidden="false" customHeight="false" outlineLevel="0" collapsed="false">
      <c r="B7" s="4" t="s">
        <v>4</v>
      </c>
      <c r="C7" s="5" t="n">
        <v>33000</v>
      </c>
    </row>
    <row r="9" customFormat="false" ht="15" hidden="false" customHeight="false" outlineLevel="0" collapsed="false">
      <c r="B9" s="3" t="s">
        <v>5</v>
      </c>
      <c r="E9" s="3" t="s">
        <v>6</v>
      </c>
    </row>
    <row r="10" customFormat="false" ht="15" hidden="false" customHeight="false" outlineLevel="0" collapsed="false">
      <c r="B10" s="4" t="s">
        <v>7</v>
      </c>
      <c r="C10" s="5" t="n">
        <v>2000</v>
      </c>
      <c r="E10" s="4" t="s">
        <v>7</v>
      </c>
      <c r="F10" s="5" t="n">
        <v>5000</v>
      </c>
    </row>
    <row r="11" customFormat="false" ht="15" hidden="false" customHeight="false" outlineLevel="0" collapsed="false">
      <c r="B11" s="4" t="s">
        <v>8</v>
      </c>
      <c r="C11" s="6" t="n">
        <v>36</v>
      </c>
      <c r="E11" s="4" t="s">
        <v>9</v>
      </c>
      <c r="F11" s="6" t="n">
        <v>60</v>
      </c>
    </row>
    <row r="12" customFormat="false" ht="15" hidden="false" customHeight="false" outlineLevel="0" collapsed="false">
      <c r="B12" s="4" t="s">
        <v>10</v>
      </c>
      <c r="C12" s="7" t="n">
        <v>55</v>
      </c>
      <c r="E12" s="4" t="s">
        <v>11</v>
      </c>
      <c r="F12" s="8" t="n">
        <v>6.5</v>
      </c>
    </row>
    <row r="13" customFormat="false" ht="15" hidden="false" customHeight="false" outlineLevel="0" collapsed="false">
      <c r="B13" s="4" t="s">
        <v>12</v>
      </c>
      <c r="C13" s="9" t="n">
        <v>0.00125</v>
      </c>
      <c r="E13" s="4" t="s">
        <v>13</v>
      </c>
      <c r="F13" s="8" t="n">
        <v>7.5</v>
      </c>
    </row>
    <row r="14" customFormat="false" ht="15" hidden="false" customHeight="false" outlineLevel="0" collapsed="false">
      <c r="B14" s="4" t="s">
        <v>13</v>
      </c>
      <c r="C14" s="8" t="n">
        <v>7.5</v>
      </c>
      <c r="E14" s="4" t="s">
        <v>14</v>
      </c>
      <c r="F14" s="6" t="n">
        <v>6</v>
      </c>
    </row>
    <row r="15" customFormat="false" ht="15" hidden="false" customHeight="false" outlineLevel="0" collapsed="false">
      <c r="B15" s="4" t="s">
        <v>15</v>
      </c>
      <c r="C15" s="5" t="n">
        <v>595</v>
      </c>
      <c r="E15" s="4" t="s">
        <v>16</v>
      </c>
      <c r="F15" s="5" t="n">
        <v>14000</v>
      </c>
    </row>
    <row r="18" customFormat="false" ht="15" hidden="false" customHeight="false" outlineLevel="0" collapsed="false">
      <c r="B18" s="3" t="s">
        <v>17</v>
      </c>
      <c r="E18" s="3" t="s">
        <v>18</v>
      </c>
    </row>
    <row r="19" customFormat="false" ht="15" hidden="false" customHeight="false" outlineLevel="0" collapsed="false">
      <c r="B19" s="0" t="s">
        <v>19</v>
      </c>
      <c r="C19" s="10" t="n">
        <f aca="false">C6*C12/100</f>
        <v>19250</v>
      </c>
      <c r="E19" s="11" t="s">
        <v>20</v>
      </c>
      <c r="F19" s="10" t="n">
        <f aca="false">C7-F10+C7*F13/100</f>
        <v>30475</v>
      </c>
    </row>
    <row r="20" customFormat="false" ht="15" hidden="false" customHeight="false" outlineLevel="0" collapsed="false">
      <c r="B20" s="0" t="s">
        <v>21</v>
      </c>
      <c r="C20" s="10" t="n">
        <f aca="false">C7+C15-C10</f>
        <v>31595</v>
      </c>
      <c r="E20" s="11" t="s">
        <v>22</v>
      </c>
      <c r="F20" s="12" t="n">
        <f aca="false">F12/100/12</f>
        <v>0.00541666666666667</v>
      </c>
    </row>
    <row r="21" customFormat="false" ht="15" hidden="false" customHeight="false" outlineLevel="0" collapsed="false">
      <c r="B21" s="0" t="s">
        <v>23</v>
      </c>
      <c r="C21" s="13" t="n">
        <f aca="false">(C20-C19)/C11</f>
        <v>342.916666666667</v>
      </c>
      <c r="E21" s="11" t="s">
        <v>24</v>
      </c>
      <c r="F21" s="14" t="n">
        <f aca="false">IF(F20&gt;0,F19*F20*(1+F20)^F11/((1+F20)^F11-1),F19/F11)</f>
        <v>596.278366965756</v>
      </c>
    </row>
    <row r="22" customFormat="false" ht="15" hidden="false" customHeight="false" outlineLevel="0" collapsed="false">
      <c r="B22" s="0" t="s">
        <v>25</v>
      </c>
      <c r="C22" s="13" t="n">
        <f aca="false">(C20+C19)*C13</f>
        <v>63.55625</v>
      </c>
      <c r="E22" s="11" t="s">
        <v>26</v>
      </c>
      <c r="F22" s="10" t="n">
        <f aca="false">F21*F11</f>
        <v>35776.7020179454</v>
      </c>
    </row>
    <row r="23" customFormat="false" ht="15" hidden="false" customHeight="false" outlineLevel="0" collapsed="false">
      <c r="B23" s="0" t="s">
        <v>27</v>
      </c>
      <c r="C23" s="13" t="n">
        <f aca="false">C21+C22</f>
        <v>406.472916666667</v>
      </c>
      <c r="E23" s="11" t="s">
        <v>28</v>
      </c>
      <c r="F23" s="10" t="n">
        <f aca="false">F22-F19+C7*F13/100</f>
        <v>7776.70201794538</v>
      </c>
    </row>
    <row r="24" customFormat="false" ht="15" hidden="false" customHeight="false" outlineLevel="0" collapsed="false">
      <c r="B24" s="0" t="s">
        <v>29</v>
      </c>
      <c r="C24" s="13" t="n">
        <f aca="false">C23*C14/100</f>
        <v>30.48546875</v>
      </c>
    </row>
    <row r="25" customFormat="false" ht="15" hidden="false" customHeight="false" outlineLevel="0" collapsed="false">
      <c r="B25" s="0" t="s">
        <v>30</v>
      </c>
      <c r="C25" s="14" t="n">
        <f aca="false">C23+C24</f>
        <v>436.958385416667</v>
      </c>
    </row>
    <row r="26" customFormat="false" ht="15" hidden="false" customHeight="false" outlineLevel="0" collapsed="false">
      <c r="B26" s="0" t="s">
        <v>31</v>
      </c>
      <c r="C26" s="15" t="n">
        <f aca="false">C13*2400</f>
        <v>3</v>
      </c>
    </row>
    <row r="29" customFormat="false" ht="17.35" hidden="false" customHeight="false" outlineLevel="0" collapsed="false">
      <c r="B29" s="16" t="s">
        <v>32</v>
      </c>
      <c r="C29" s="16"/>
      <c r="D29" s="16"/>
      <c r="E29" s="16"/>
      <c r="F29" s="16"/>
    </row>
    <row r="31" customFormat="false" ht="15" hidden="false" customHeight="false" outlineLevel="0" collapsed="false">
      <c r="B31" s="17" t="s">
        <v>33</v>
      </c>
      <c r="C31" s="17" t="s">
        <v>34</v>
      </c>
      <c r="E31" s="17" t="s">
        <v>33</v>
      </c>
      <c r="F31" s="17" t="s">
        <v>35</v>
      </c>
    </row>
    <row r="32" customFormat="false" ht="15" hidden="false" customHeight="false" outlineLevel="0" collapsed="false">
      <c r="B32" s="18" t="s">
        <v>36</v>
      </c>
      <c r="C32" s="10" t="n">
        <f aca="false">C10*2</f>
        <v>4000</v>
      </c>
      <c r="E32" s="18" t="s">
        <v>37</v>
      </c>
      <c r="F32" s="10" t="n">
        <f aca="false">F10+C7*F13/100</f>
        <v>7475</v>
      </c>
    </row>
    <row r="33" customFormat="false" ht="15" hidden="false" customHeight="false" outlineLevel="0" collapsed="false">
      <c r="B33" s="18" t="s">
        <v>38</v>
      </c>
      <c r="C33" s="10" t="n">
        <f aca="false">C25*C11*2</f>
        <v>31461.00375</v>
      </c>
      <c r="E33" s="18" t="s">
        <v>39</v>
      </c>
      <c r="F33" s="10" t="n">
        <f aca="false">F22</f>
        <v>35776.7020179454</v>
      </c>
    </row>
    <row r="34" customFormat="false" ht="15" hidden="false" customHeight="false" outlineLevel="0" collapsed="false">
      <c r="B34" s="18" t="s">
        <v>40</v>
      </c>
      <c r="C34" s="10" t="n">
        <f aca="false">C15*2</f>
        <v>1190</v>
      </c>
      <c r="E34" s="18" t="s">
        <v>41</v>
      </c>
      <c r="F34" s="10" t="n">
        <v>3000</v>
      </c>
    </row>
    <row r="35" customFormat="false" ht="15" hidden="false" customHeight="false" outlineLevel="0" collapsed="false">
      <c r="B35" s="19" t="s">
        <v>42</v>
      </c>
      <c r="C35" s="20" t="n">
        <f aca="false">C32+C33+C34</f>
        <v>36651.00375</v>
      </c>
      <c r="E35" s="19" t="s">
        <v>43</v>
      </c>
      <c r="F35" s="20" t="n">
        <f aca="false">F32+F33+F34</f>
        <v>46251.7020179454</v>
      </c>
    </row>
    <row r="36" customFormat="false" ht="15" hidden="false" customHeight="false" outlineLevel="0" collapsed="false">
      <c r="B36" s="18" t="s">
        <v>44</v>
      </c>
      <c r="C36" s="10" t="n">
        <v>0</v>
      </c>
      <c r="E36" s="18" t="s">
        <v>45</v>
      </c>
      <c r="F36" s="10" t="n">
        <f aca="false">F15</f>
        <v>14000</v>
      </c>
    </row>
    <row r="38" customFormat="false" ht="15" hidden="false" customHeight="false" outlineLevel="0" collapsed="false">
      <c r="B38" s="21" t="s">
        <v>46</v>
      </c>
      <c r="C38" s="22" t="n">
        <f aca="false">C35-C36</f>
        <v>36651.00375</v>
      </c>
      <c r="E38" s="21" t="s">
        <v>46</v>
      </c>
      <c r="F38" s="22" t="n">
        <f aca="false">F35-F36</f>
        <v>32251.7020179454</v>
      </c>
    </row>
    <row r="40" customFormat="false" ht="15" hidden="false" customHeight="false" outlineLevel="0" collapsed="false">
      <c r="B40" s="3" t="s">
        <v>47</v>
      </c>
      <c r="C40" s="23" t="str">
        <f aca="false">IF(C38&lt;F38,"LEASING saves you $"&amp;TEXT(F38-C38,"#,##0")&amp;" over 6 years","BUYING saves you $"&amp;TEXT(C38-F38,"#,##0")&amp;" over 6 years")</f>
        <v>BUYING saves you $4,399 over 6 years</v>
      </c>
      <c r="D40" s="23"/>
      <c r="E40" s="23"/>
      <c r="F40" s="23"/>
    </row>
    <row r="43" customFormat="false" ht="15" hidden="false" customHeight="false" outlineLevel="0" collapsed="false">
      <c r="B43" s="3" t="s">
        <v>48</v>
      </c>
    </row>
    <row r="44" customFormat="false" ht="15" hidden="false" customHeight="false" outlineLevel="0" collapsed="false">
      <c r="B44" s="24" t="s">
        <v>49</v>
      </c>
    </row>
    <row r="45" customFormat="false" ht="15" hidden="false" customHeight="false" outlineLevel="0" collapsed="false">
      <c r="B45" s="24" t="s">
        <v>50</v>
      </c>
    </row>
    <row r="46" customFormat="false" ht="15" hidden="false" customHeight="false" outlineLevel="0" collapsed="false">
      <c r="B46" s="24" t="s">
        <v>51</v>
      </c>
    </row>
    <row r="47" customFormat="false" ht="15" hidden="false" customHeight="false" outlineLevel="0" collapsed="false">
      <c r="B47" s="24" t="s">
        <v>52</v>
      </c>
    </row>
  </sheetData>
  <mergeCells count="4">
    <mergeCell ref="B2:F2"/>
    <mergeCell ref="B3:F3"/>
    <mergeCell ref="B29:F29"/>
    <mergeCell ref="C40:F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5"/>
    <col collapsed="false" customWidth="true" hidden="false" outlineLevel="0" max="5" min="3" style="0" width="15"/>
  </cols>
  <sheetData>
    <row r="2" customFormat="false" ht="17.35" hidden="false" customHeight="false" outlineLevel="0" collapsed="false">
      <c r="B2" s="25" t="s">
        <v>53</v>
      </c>
    </row>
    <row r="4" customFormat="false" ht="15" hidden="false" customHeight="false" outlineLevel="0" collapsed="false">
      <c r="B4" s="17" t="s">
        <v>54</v>
      </c>
      <c r="C4" s="17" t="s">
        <v>55</v>
      </c>
      <c r="D4" s="17" t="s">
        <v>56</v>
      </c>
      <c r="E4" s="17" t="s">
        <v>57</v>
      </c>
    </row>
    <row r="5" customFormat="false" ht="15" hidden="false" customHeight="false" outlineLevel="0" collapsed="false">
      <c r="B5" s="26" t="s">
        <v>58</v>
      </c>
      <c r="C5" s="10" t="n">
        <f aca="false">'Lease vs Buy Calculator'!C25</f>
        <v>436.958385416667</v>
      </c>
      <c r="D5" s="10" t="n">
        <f aca="false">'Lease vs Buy Calculator'!F21</f>
        <v>596.278366965756</v>
      </c>
      <c r="E5" s="10" t="n">
        <f aca="false">C5-D5</f>
        <v>-159.31998154909</v>
      </c>
    </row>
    <row r="6" customFormat="false" ht="15" hidden="false" customHeight="false" outlineLevel="0" collapsed="false">
      <c r="B6" s="26" t="s">
        <v>59</v>
      </c>
      <c r="C6" s="5" t="n">
        <v>150</v>
      </c>
      <c r="D6" s="5" t="n">
        <v>130</v>
      </c>
      <c r="E6" s="10" t="n">
        <f aca="false">C6-D6</f>
        <v>20</v>
      </c>
    </row>
    <row r="7" customFormat="false" ht="15" hidden="false" customHeight="false" outlineLevel="0" collapsed="false">
      <c r="B7" s="26" t="s">
        <v>60</v>
      </c>
      <c r="C7" s="5" t="n">
        <v>200</v>
      </c>
      <c r="D7" s="5" t="n">
        <v>200</v>
      </c>
      <c r="E7" s="10" t="n">
        <f aca="false">C7-D7</f>
        <v>0</v>
      </c>
    </row>
    <row r="8" customFormat="false" ht="15" hidden="false" customHeight="false" outlineLevel="0" collapsed="false">
      <c r="B8" s="26" t="s">
        <v>41</v>
      </c>
      <c r="C8" s="5" t="n">
        <v>0</v>
      </c>
      <c r="D8" s="5" t="n">
        <v>50</v>
      </c>
      <c r="E8" s="10" t="n">
        <f aca="false">C8-D8</f>
        <v>-50</v>
      </c>
    </row>
    <row r="9" customFormat="false" ht="15" hidden="false" customHeight="false" outlineLevel="0" collapsed="false">
      <c r="B9" s="19" t="s">
        <v>61</v>
      </c>
      <c r="C9" s="27" t="n">
        <f aca="false">SUM(C5:C8)</f>
        <v>786.958385416667</v>
      </c>
      <c r="D9" s="27" t="n">
        <f aca="false">SUM(D5:D8)</f>
        <v>976.278366965756</v>
      </c>
      <c r="E9" s="20" t="n">
        <f aca="false">C9-D9</f>
        <v>-189.31998154909</v>
      </c>
    </row>
    <row r="12" customFormat="false" ht="15" hidden="false" customHeight="false" outlineLevel="0" collapsed="false">
      <c r="B12" s="28" t="s">
        <v>62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2" min="2" style="0" width="80"/>
  </cols>
  <sheetData>
    <row r="2" customFormat="false" ht="19.7" hidden="false" customHeight="false" outlineLevel="0" collapsed="false">
      <c r="B2" s="29" t="s">
        <v>63</v>
      </c>
    </row>
    <row r="4" customFormat="false" ht="15" hidden="false" customHeight="false" outlineLevel="0" collapsed="false">
      <c r="B4" s="4"/>
    </row>
    <row r="5" customFormat="false" ht="15" hidden="false" customHeight="false" outlineLevel="0" collapsed="false">
      <c r="B5" s="3" t="s">
        <v>64</v>
      </c>
    </row>
    <row r="6" customFormat="false" ht="15" hidden="false" customHeight="false" outlineLevel="0" collapsed="false">
      <c r="B6" s="4" t="s">
        <v>65</v>
      </c>
    </row>
    <row r="7" customFormat="false" ht="15" hidden="false" customHeight="false" outlineLevel="0" collapsed="false">
      <c r="B7" s="4" t="s">
        <v>66</v>
      </c>
    </row>
    <row r="8" customFormat="false" ht="15" hidden="false" customHeight="false" outlineLevel="0" collapsed="false">
      <c r="B8" s="4"/>
    </row>
    <row r="9" customFormat="false" ht="15" hidden="false" customHeight="false" outlineLevel="0" collapsed="false">
      <c r="B9" s="3" t="s">
        <v>67</v>
      </c>
    </row>
    <row r="10" customFormat="false" ht="15" hidden="false" customHeight="false" outlineLevel="0" collapsed="false">
      <c r="B10" s="4" t="s">
        <v>68</v>
      </c>
    </row>
    <row r="11" customFormat="false" ht="15" hidden="false" customHeight="false" outlineLevel="0" collapsed="false">
      <c r="B11" s="4" t="s">
        <v>69</v>
      </c>
    </row>
    <row r="12" customFormat="false" ht="15" hidden="false" customHeight="false" outlineLevel="0" collapsed="false">
      <c r="B12" s="4" t="s">
        <v>70</v>
      </c>
    </row>
    <row r="13" customFormat="false" ht="15" hidden="false" customHeight="false" outlineLevel="0" collapsed="false">
      <c r="B13" s="4" t="s">
        <v>71</v>
      </c>
    </row>
    <row r="14" customFormat="false" ht="15" hidden="false" customHeight="false" outlineLevel="0" collapsed="false">
      <c r="B14" s="4" t="s">
        <v>72</v>
      </c>
    </row>
    <row r="15" customFormat="false" ht="15" hidden="false" customHeight="false" outlineLevel="0" collapsed="false">
      <c r="B15" s="4" t="s">
        <v>73</v>
      </c>
    </row>
    <row r="16" customFormat="false" ht="15" hidden="false" customHeight="false" outlineLevel="0" collapsed="false">
      <c r="B16" s="4"/>
    </row>
    <row r="17" customFormat="false" ht="15" hidden="false" customHeight="false" outlineLevel="0" collapsed="false">
      <c r="B17" s="3" t="s">
        <v>74</v>
      </c>
    </row>
    <row r="18" customFormat="false" ht="15" hidden="false" customHeight="false" outlineLevel="0" collapsed="false">
      <c r="B18" s="4" t="s">
        <v>75</v>
      </c>
    </row>
    <row r="19" customFormat="false" ht="15" hidden="false" customHeight="false" outlineLevel="0" collapsed="false">
      <c r="B19" s="4" t="s">
        <v>76</v>
      </c>
    </row>
    <row r="20" customFormat="false" ht="15" hidden="false" customHeight="false" outlineLevel="0" collapsed="false">
      <c r="B20" s="4" t="s">
        <v>77</v>
      </c>
    </row>
    <row r="21" customFormat="false" ht="15" hidden="false" customHeight="false" outlineLevel="0" collapsed="false">
      <c r="B21" s="4" t="s">
        <v>78</v>
      </c>
    </row>
    <row r="22" customFormat="false" ht="15" hidden="false" customHeight="false" outlineLevel="0" collapsed="false">
      <c r="B22" s="4" t="s">
        <v>79</v>
      </c>
    </row>
    <row r="23" customFormat="false" ht="15" hidden="false" customHeight="false" outlineLevel="0" collapsed="false">
      <c r="B23" s="4"/>
    </row>
    <row r="24" customFormat="false" ht="15" hidden="false" customHeight="false" outlineLevel="0" collapsed="false">
      <c r="B24" s="3" t="s">
        <v>80</v>
      </c>
    </row>
    <row r="25" customFormat="false" ht="15" hidden="false" customHeight="false" outlineLevel="0" collapsed="false">
      <c r="B25" s="4" t="s">
        <v>81</v>
      </c>
    </row>
    <row r="26" customFormat="false" ht="15" hidden="false" customHeight="false" outlineLevel="0" collapsed="false">
      <c r="B26" s="4" t="s">
        <v>82</v>
      </c>
    </row>
    <row r="27" customFormat="false" ht="15" hidden="false" customHeight="false" outlineLevel="0" collapsed="false">
      <c r="B27" s="4" t="s">
        <v>83</v>
      </c>
    </row>
    <row r="28" customFormat="false" ht="15" hidden="false" customHeight="false" outlineLevel="0" collapsed="false">
      <c r="B28" s="4"/>
    </row>
    <row r="29" customFormat="false" ht="15" hidden="false" customHeight="false" outlineLevel="0" collapsed="false">
      <c r="B29" s="3" t="s">
        <v>84</v>
      </c>
    </row>
    <row r="30" customFormat="false" ht="15" hidden="false" customHeight="false" outlineLevel="0" collapsed="false">
      <c r="B30" s="4" t="s">
        <v>85</v>
      </c>
    </row>
    <row r="31" customFormat="false" ht="15" hidden="false" customHeight="false" outlineLevel="0" collapsed="false">
      <c r="B31" s="4" t="s">
        <v>86</v>
      </c>
    </row>
    <row r="32" customFormat="false" ht="15" hidden="false" customHeight="false" outlineLevel="0" collapsed="false">
      <c r="B32" s="4"/>
    </row>
    <row r="33" customFormat="false" ht="15" hidden="false" customHeight="false" outlineLevel="0" collapsed="false">
      <c r="B33" s="3" t="s">
        <v>87</v>
      </c>
    </row>
    <row r="34" customFormat="false" ht="15" hidden="false" customHeight="false" outlineLevel="0" collapsed="false">
      <c r="B34" s="4" t="s">
        <v>88</v>
      </c>
    </row>
    <row r="35" customFormat="false" ht="15" hidden="false" customHeight="false" outlineLevel="0" collapsed="false">
      <c r="B35" s="4" t="s">
        <v>89</v>
      </c>
    </row>
    <row r="36" customFormat="false" ht="15" hidden="false" customHeight="false" outlineLevel="0" collapsed="false">
      <c r="B36" s="4" t="s">
        <v>90</v>
      </c>
    </row>
    <row r="37" customFormat="false" ht="15" hidden="false" customHeight="false" outlineLevel="0" collapsed="false">
      <c r="B37" s="4" t="s">
        <v>91</v>
      </c>
    </row>
    <row r="38" customFormat="false" ht="15" hidden="false" customHeight="false" outlineLevel="0" collapsed="false">
      <c r="B38" s="4"/>
    </row>
    <row r="39" customFormat="false" ht="15" hidden="false" customHeight="false" outlineLevel="0" collapsed="false">
      <c r="B39" s="4" t="s">
        <v>92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2025-12-10T17:26:48Z</dcterms:created>
  <dc:creator>openpyxl</dc:creator>
  <dc:description/>
  <dc:language>en-US</dc:language>
  <cp:lastModifiedBy/>
  <dcterms:modified xsi:type="dcterms:W3CDTF">2025-12-10T17:26:48Z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